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0" windowWidth="12180" windowHeight="7920" activeTab="0"/>
  </bookViews>
  <sheets>
    <sheet name="Calculator" sheetId="1" r:id="rId1"/>
    <sheet name="Notes" sheetId="2" r:id="rId2"/>
    <sheet name="Geographies DB" sheetId="3" r:id="rId3"/>
  </sheets>
  <definedNames>
    <definedName name="_xlnm.Print_Area" localSheetId="0">'Calculator'!$A$1:$L$98</definedName>
  </definedNames>
  <calcPr fullCalcOnLoad="1"/>
</workbook>
</file>

<file path=xl/sharedStrings.xml><?xml version="1.0" encoding="utf-8"?>
<sst xmlns="http://schemas.openxmlformats.org/spreadsheetml/2006/main" count="202" uniqueCount="124">
  <si>
    <t>Coal</t>
  </si>
  <si>
    <t>Natural</t>
  </si>
  <si>
    <t>Nuclear</t>
  </si>
  <si>
    <t>Hydro-</t>
  </si>
  <si>
    <t>Petroleum</t>
  </si>
  <si>
    <t>Other</t>
  </si>
  <si>
    <t>Renew-</t>
  </si>
  <si>
    <t>Total</t>
  </si>
  <si>
    <t>Gas</t>
  </si>
  <si>
    <t>power</t>
  </si>
  <si>
    <t>ables</t>
  </si>
  <si>
    <t>National</t>
  </si>
  <si>
    <t>Pacific Gas &amp; Electric (2007)</t>
  </si>
  <si>
    <t>Sacramento Municipal Utility District (2007)</t>
  </si>
  <si>
    <t>LA Dept of Water and Power (2007)</t>
  </si>
  <si>
    <t>Size of Renewable System (MW)</t>
  </si>
  <si>
    <t>Input</t>
  </si>
  <si>
    <t>Efficiency Factor</t>
  </si>
  <si>
    <t>Conversion to MWh / year</t>
  </si>
  <si>
    <t>MWh/ year reduced, by source</t>
  </si>
  <si>
    <t>Geography Grid Fuel Mix</t>
  </si>
  <si>
    <r>
      <t>CO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</si>
  <si>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</si>
  <si>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SO</t>
    </r>
    <r>
      <rPr>
        <vertAlign val="subscript"/>
        <sz val="10"/>
        <rFont val="Arial"/>
        <family val="2"/>
      </rPr>
      <t>2</t>
    </r>
  </si>
  <si>
    <t>See note 1.</t>
  </si>
  <si>
    <t xml:space="preserve">Mounting </t>
  </si>
  <si>
    <t>Electrical</t>
  </si>
  <si>
    <t>Design</t>
  </si>
  <si>
    <t>Cost of System</t>
  </si>
  <si>
    <t>Emission</t>
  </si>
  <si>
    <t>Direct</t>
  </si>
  <si>
    <t>Indirect</t>
  </si>
  <si>
    <t xml:space="preserve">Induced </t>
  </si>
  <si>
    <t>Labor Type</t>
  </si>
  <si>
    <t>Amt. of System</t>
  </si>
  <si>
    <t>Costs to Labor</t>
  </si>
  <si>
    <t xml:space="preserve">Overhead </t>
  </si>
  <si>
    <t>Portion</t>
  </si>
  <si>
    <t xml:space="preserve"> requirement is estimated to be 10,000 years.</t>
  </si>
  <si>
    <t>Type of Employment Effect</t>
  </si>
  <si>
    <t>Type of Wage Effect</t>
  </si>
  <si>
    <t>1.  About the Renewable System</t>
  </si>
  <si>
    <t>2.  Portion of Expenditure to Local Wages</t>
  </si>
  <si>
    <t>3.  Employment Impacts</t>
  </si>
  <si>
    <t>4. Sample Fuel Mix</t>
  </si>
  <si>
    <t>5.  MWh/ Year Reduced</t>
  </si>
  <si>
    <t>6.  Emissions Factors: Pounds per MWh Reduction</t>
  </si>
  <si>
    <t>7.  Emissions in Pounds Reduced per Year, due to Renewable System</t>
  </si>
  <si>
    <t>Input information about the system in the highlighted cells.</t>
  </si>
  <si>
    <t>Key calculation in section is the total megawatt hours per year projected from the system.</t>
  </si>
  <si>
    <t>Based on the total cost of the system, calculates amount of wages to local labor.</t>
  </si>
  <si>
    <t>Key to cells:</t>
  </si>
  <si>
    <t>Input information here</t>
  </si>
  <si>
    <t>Key calculation</t>
  </si>
  <si>
    <t xml:space="preserve">Calculates the total number of estimated one-time, local jobs. </t>
  </si>
  <si>
    <t>Total (One-time, wages)</t>
  </si>
  <si>
    <t>Total (Job-years)</t>
  </si>
  <si>
    <t xml:space="preserve">3.  Employment Impacts </t>
  </si>
  <si>
    <t>Reflects fuel mix for selected utilities shown.</t>
  </si>
  <si>
    <t xml:space="preserve">May use the fuel mix selected, or may shown 100% of one fuel-type being dispaced by </t>
  </si>
  <si>
    <t>the system.  Our findings indicate that Natural Gas is the most likely type of fuel to be</t>
  </si>
  <si>
    <t>displaced, due to its cost and use during peak energy usage events.</t>
  </si>
  <si>
    <t>Calculates megawatt hours of each fuel displaced, due to the system.</t>
  </si>
  <si>
    <t>Calculation results, pounds reduced of pollutants.</t>
  </si>
  <si>
    <r>
      <t>CO</t>
    </r>
    <r>
      <rPr>
        <b/>
        <vertAlign val="subscript"/>
        <sz val="10"/>
        <color indexed="9"/>
        <rFont val="Arial"/>
        <family val="2"/>
      </rPr>
      <t>2</t>
    </r>
  </si>
  <si>
    <r>
      <t>NO</t>
    </r>
    <r>
      <rPr>
        <b/>
        <vertAlign val="subscript"/>
        <sz val="10"/>
        <color indexed="9"/>
        <rFont val="Arial"/>
        <family val="2"/>
      </rPr>
      <t>x</t>
    </r>
  </si>
  <si>
    <r>
      <t>SO</t>
    </r>
    <r>
      <rPr>
        <b/>
        <vertAlign val="subscript"/>
        <sz val="10"/>
        <color indexed="9"/>
        <rFont val="Arial"/>
        <family val="2"/>
      </rPr>
      <t>2</t>
    </r>
  </si>
  <si>
    <t>Pounds per Gigawatt</t>
  </si>
  <si>
    <t>Hg (Mercury)</t>
  </si>
  <si>
    <r>
      <t xml:space="preserve">[1]  </t>
    </r>
    <r>
      <rPr>
        <sz val="8"/>
        <rFont val="Arial"/>
        <family val="0"/>
      </rPr>
      <t>Despite emitting no GHGs or air pollutants,</t>
    </r>
    <r>
      <rPr>
        <vertAlign val="superscript"/>
        <sz val="8"/>
        <rFont val="Arial"/>
        <family val="0"/>
      </rPr>
      <t xml:space="preserve"> </t>
    </r>
    <r>
      <rPr>
        <sz val="8"/>
        <rFont val="Arial"/>
        <family val="0"/>
      </rPr>
      <t>Power Scorecard assigned Nuclear energy the highest environmental impact score of all power sources because its solid waste storage</t>
    </r>
  </si>
  <si>
    <t>Wages related to supply purchases and employee purchases</t>
  </si>
  <si>
    <t>Selected States</t>
  </si>
  <si>
    <t>Colorado</t>
  </si>
  <si>
    <t>Indiana</t>
  </si>
  <si>
    <t>West Virginia</t>
  </si>
  <si>
    <t>California</t>
  </si>
  <si>
    <t>Selected California Utilities</t>
  </si>
  <si>
    <t>Database of Geographies</t>
  </si>
  <si>
    <t>SoCal Edison</t>
  </si>
  <si>
    <t>PG&amp;E</t>
  </si>
  <si>
    <t>SMUD</t>
  </si>
  <si>
    <t>LADPW</t>
  </si>
  <si>
    <t>National Ave.</t>
  </si>
  <si>
    <t>Column #</t>
  </si>
  <si>
    <t>Mortality</t>
  </si>
  <si>
    <t>Chronic Bronchitis</t>
  </si>
  <si>
    <t>Heart Attacks</t>
  </si>
  <si>
    <t>Hospital Admissions - Respiratory</t>
  </si>
  <si>
    <t>Hospital Admissions - Cardiovascular</t>
  </si>
  <si>
    <t>Emergency room visits, Asthma</t>
  </si>
  <si>
    <t>Acute Bronchitis</t>
  </si>
  <si>
    <t>Lower Respiratory Symptons</t>
  </si>
  <si>
    <t>Upper Respiratory Symptons</t>
  </si>
  <si>
    <t>Work Loss Days</t>
  </si>
  <si>
    <t>Minor Restricted Activity Days</t>
  </si>
  <si>
    <t>Per Megawatt</t>
  </si>
  <si>
    <t>Cases Reduced per Year</t>
  </si>
  <si>
    <t>Total for System</t>
  </si>
  <si>
    <t>8.  Health Impacts</t>
  </si>
  <si>
    <t xml:space="preserve">Average emissions from the various fuel sources. </t>
  </si>
  <si>
    <t>References</t>
  </si>
  <si>
    <t>Description</t>
  </si>
  <si>
    <t>Do not erase:</t>
  </si>
  <si>
    <t xml:space="preserve">"System Costs to Labor" sourced from: U.S. Department of Energy, "Energy Efficiency and Renewable </t>
  </si>
  <si>
    <t>Energy Solar  Energy Technologies Multi-Year Technical Plan, 2003-2007 and Beyond" document</t>
  </si>
  <si>
    <t>Wage effect relies on county-level data from IMPLAN (Minnesota IMPLAN Group); Mounting, Electrical,</t>
  </si>
  <si>
    <t>and Design assumed to be local labor</t>
  </si>
  <si>
    <t>Power Scorecard is the primary source of information for the emissions estimates. More information here:</t>
  </si>
  <si>
    <t>Avoided health impacts due to the displacement of fossil fuel electricity sources with PV solar.</t>
  </si>
  <si>
    <t xml:space="preserve">See the National Renwable Energy Laboratory's August 2007 publication:  </t>
  </si>
  <si>
    <t xml:space="preserve"> "Energy, Economic, and Environmental Benefits of the Solar America Initiative"</t>
  </si>
  <si>
    <t>Free A</t>
  </si>
  <si>
    <t>Free B</t>
  </si>
  <si>
    <t>Free C</t>
  </si>
  <si>
    <t>Free D</t>
  </si>
  <si>
    <t>Must be in Alpha.</t>
  </si>
  <si>
    <t>Order to Function</t>
  </si>
  <si>
    <t xml:space="preserve">Properly </t>
  </si>
  <si>
    <t xml:space="preserve">The calculation is based on a study which reviewed emissions from electricity generated 75% from Natural Gas and </t>
  </si>
  <si>
    <t>25% from Coal.  More coal-heavy fuel mixtures will have greater health impacts than those calculated here while</t>
  </si>
  <si>
    <t xml:space="preserve">mixtures with more Natural Gas will have less of a health impact than that estimated here. </t>
  </si>
  <si>
    <t>Southern California Edison (2007)</t>
  </si>
  <si>
    <t>http://www.powerscorecard.org/  See Methodology publication, September 22, 2000 revised February 1, 2005.</t>
  </si>
  <si>
    <t>Notes to Calculator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</si>
</sst>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#,##0.000"/>
    <numFmt numFmtId="168" formatCode="&quot;$&quot;#,##0.0_);[Red]\(&quot;$&quot;#,##0.0\)"/>
    <numFmt numFmtId="169" formatCode="#,##0.0000"/>
    <numFmt numFmtId="170" formatCode="#,##0.0000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#,##0.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9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57" applyFont="1">
      <alignment/>
      <protection/>
    </xf>
    <xf numFmtId="3" fontId="1" fillId="0" borderId="0" xfId="57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3" fontId="6" fillId="0" borderId="0" xfId="57" applyFont="1">
      <alignment/>
      <protection/>
    </xf>
    <xf numFmtId="6" fontId="0" fillId="0" borderId="0" xfId="0" applyNumberFormat="1" applyAlignment="1">
      <alignment horizontal="center"/>
    </xf>
    <xf numFmtId="6" fontId="6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57" applyNumberFormat="1" applyAlignment="1">
      <alignment horizontal="center"/>
      <protection/>
    </xf>
    <xf numFmtId="9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6" fontId="6" fillId="0" borderId="0" xfId="57" applyNumberFormat="1" applyFont="1" applyAlignment="1">
      <alignment horizontal="center"/>
      <protection/>
    </xf>
    <xf numFmtId="3" fontId="0" fillId="0" borderId="0" xfId="57" applyAlignment="1">
      <alignment horizontal="center"/>
      <protection/>
    </xf>
    <xf numFmtId="4" fontId="6" fillId="0" borderId="0" xfId="57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6" fontId="0" fillId="33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2" fillId="0" borderId="0" xfId="0" applyNumberFormat="1" applyFont="1" applyAlignment="1">
      <alignment horizontal="left" indent="1"/>
    </xf>
    <xf numFmtId="0" fontId="0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6" fillId="0" borderId="10" xfId="57" applyFont="1" applyBorder="1">
      <alignment/>
      <protection/>
    </xf>
    <xf numFmtId="3" fontId="0" fillId="0" borderId="10" xfId="57" applyBorder="1" applyAlignment="1">
      <alignment horizontal="center"/>
      <protection/>
    </xf>
    <xf numFmtId="3" fontId="10" fillId="34" borderId="0" xfId="57" applyFont="1" applyFill="1">
      <alignment/>
      <protection/>
    </xf>
    <xf numFmtId="3" fontId="10" fillId="34" borderId="0" xfId="57" applyFont="1" applyFill="1" applyAlignment="1">
      <alignment horizontal="center"/>
      <protection/>
    </xf>
    <xf numFmtId="6" fontId="10" fillId="34" borderId="0" xfId="57" applyNumberFormat="1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0" fontId="10" fillId="34" borderId="0" xfId="0" applyFont="1" applyFill="1" applyAlignment="1">
      <alignment/>
    </xf>
    <xf numFmtId="3" fontId="10" fillId="34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167" fontId="10" fillId="34" borderId="0" xfId="0" applyNumberFormat="1" applyFont="1" applyFill="1" applyAlignment="1">
      <alignment horizontal="center" vertical="center"/>
    </xf>
    <xf numFmtId="4" fontId="10" fillId="34" borderId="0" xfId="57" applyNumberFormat="1" applyFont="1" applyFill="1" applyAlignment="1">
      <alignment horizontal="center"/>
      <protection/>
    </xf>
    <xf numFmtId="4" fontId="2" fillId="0" borderId="0" xfId="0" applyNumberFormat="1" applyFont="1" applyAlignment="1">
      <alignment/>
    </xf>
    <xf numFmtId="6" fontId="0" fillId="0" borderId="0" xfId="57" applyNumberFormat="1" applyFont="1" applyAlignment="1">
      <alignment horizontal="center"/>
      <protection/>
    </xf>
    <xf numFmtId="6" fontId="0" fillId="0" borderId="0" xfId="0" applyNumberFormat="1" applyFont="1" applyAlignment="1">
      <alignment horizontal="center"/>
    </xf>
    <xf numFmtId="6" fontId="6" fillId="0" borderId="0" xfId="0" applyNumberFormat="1" applyFont="1" applyBorder="1" applyAlignment="1">
      <alignment horizontal="center"/>
    </xf>
    <xf numFmtId="9" fontId="0" fillId="0" borderId="0" xfId="0" applyNumberFormat="1" applyFill="1" applyAlignment="1">
      <alignment horizontal="center"/>
    </xf>
    <xf numFmtId="3" fontId="0" fillId="0" borderId="10" xfId="57" applyBorder="1">
      <alignment/>
      <protection/>
    </xf>
    <xf numFmtId="3" fontId="0" fillId="0" borderId="0" xfId="57">
      <alignment/>
      <protection/>
    </xf>
    <xf numFmtId="167" fontId="0" fillId="0" borderId="0" xfId="57" applyNumberFormat="1" applyAlignment="1">
      <alignment horizontal="right"/>
      <protection/>
    </xf>
    <xf numFmtId="0" fontId="1" fillId="0" borderId="0" xfId="0" applyFont="1" applyFill="1" applyAlignment="1">
      <alignment horizontal="center"/>
    </xf>
    <xf numFmtId="3" fontId="3" fillId="0" borderId="0" xfId="57" applyFont="1">
      <alignment/>
      <protection/>
    </xf>
    <xf numFmtId="176" fontId="10" fillId="34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7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0" xfId="53" applyAlignment="1" applyProtection="1">
      <alignment horizontal="left" indent="1"/>
      <protection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0" fontId="10" fillId="34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3" fontId="1" fillId="0" borderId="11" xfId="5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7</xdr:row>
      <xdr:rowOff>66675</xdr:rowOff>
    </xdr:from>
    <xdr:to>
      <xdr:col>1</xdr:col>
      <xdr:colOff>438150</xdr:colOff>
      <xdr:row>19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000125" y="1181100"/>
          <a:ext cx="485775" cy="2000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scorecard.org/%20%20See%20Methodology%20publication,%20September%2022,%202000%20revised%20February%201,%202005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3.28125" style="0" customWidth="1"/>
    <col min="2" max="2" width="37.7109375" style="0" bestFit="1" customWidth="1"/>
    <col min="3" max="3" width="14.7109375" style="3" bestFit="1" customWidth="1"/>
    <col min="4" max="4" width="12.7109375" style="3" bestFit="1" customWidth="1"/>
    <col min="5" max="5" width="16.57421875" style="3" bestFit="1" customWidth="1"/>
    <col min="6" max="6" width="11.8515625" style="3" customWidth="1"/>
    <col min="7" max="7" width="10.57421875" style="3" customWidth="1"/>
    <col min="8" max="8" width="11.8515625" style="3" bestFit="1" customWidth="1"/>
    <col min="9" max="9" width="9.28125" style="3" bestFit="1" customWidth="1"/>
    <col min="10" max="10" width="9.7109375" style="3" bestFit="1" customWidth="1"/>
    <col min="11" max="11" width="3.00390625" style="3" customWidth="1"/>
    <col min="12" max="12" width="12.7109375" style="3" bestFit="1" customWidth="1"/>
    <col min="13" max="13" width="9.140625" style="3" customWidth="1"/>
  </cols>
  <sheetData>
    <row r="1" spans="6:8" ht="12.75">
      <c r="F1" s="22"/>
      <c r="G1" s="22"/>
      <c r="H1" s="22"/>
    </row>
    <row r="2" spans="6:8" ht="12.75">
      <c r="F2" s="103" t="s">
        <v>51</v>
      </c>
      <c r="G2" s="103"/>
      <c r="H2" s="103"/>
    </row>
    <row r="3" spans="6:8" ht="12.75">
      <c r="F3" s="104" t="s">
        <v>52</v>
      </c>
      <c r="G3" s="104"/>
      <c r="H3" s="104"/>
    </row>
    <row r="4" spans="3:13" s="1" customFormat="1" ht="12.75">
      <c r="C4" s="2"/>
      <c r="D4" s="2"/>
      <c r="E4" s="2"/>
      <c r="F4" s="105" t="s">
        <v>53</v>
      </c>
      <c r="G4" s="105"/>
      <c r="H4" s="105"/>
      <c r="I4" s="2"/>
      <c r="J4" s="2"/>
      <c r="K4" s="2"/>
      <c r="L4" s="2"/>
      <c r="M4" s="2"/>
    </row>
    <row r="5" spans="2:12" ht="12.75">
      <c r="B5" s="6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06" t="s">
        <v>41</v>
      </c>
      <c r="B6" s="21"/>
      <c r="C6" s="19" t="s">
        <v>16</v>
      </c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06"/>
      <c r="B7" s="28"/>
      <c r="C7" s="17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106"/>
      <c r="B8" s="30" t="s">
        <v>28</v>
      </c>
      <c r="C8" s="43">
        <v>750000</v>
      </c>
      <c r="D8" s="2"/>
      <c r="E8" s="2"/>
      <c r="F8" s="2"/>
      <c r="G8" s="2"/>
      <c r="H8" s="2"/>
      <c r="I8" s="2"/>
      <c r="J8" s="2"/>
      <c r="K8" s="2"/>
      <c r="L8" s="2"/>
    </row>
    <row r="9" spans="1:3" ht="12.75">
      <c r="A9" s="106"/>
      <c r="B9" t="s">
        <v>15</v>
      </c>
      <c r="C9" s="4">
        <v>0.1</v>
      </c>
    </row>
    <row r="10" spans="1:3" ht="12.75">
      <c r="A10" s="106"/>
      <c r="B10" t="s">
        <v>17</v>
      </c>
      <c r="C10" s="7">
        <v>0.18</v>
      </c>
    </row>
    <row r="11" spans="1:3" ht="12.75">
      <c r="A11" s="106"/>
      <c r="B11" t="s">
        <v>18</v>
      </c>
      <c r="C11" s="9">
        <f>$C$9*365*24*$C$10</f>
        <v>157.68</v>
      </c>
    </row>
    <row r="12" spans="1:3" ht="12.75">
      <c r="A12" s="23"/>
      <c r="B12" s="16"/>
      <c r="C12" s="9"/>
    </row>
    <row r="13" spans="1:8" ht="12.75">
      <c r="A13" s="106" t="s">
        <v>42</v>
      </c>
      <c r="B13" s="1" t="s">
        <v>33</v>
      </c>
      <c r="C13" s="42" t="s">
        <v>34</v>
      </c>
      <c r="D13" s="42" t="s">
        <v>36</v>
      </c>
      <c r="E13" s="107" t="s">
        <v>40</v>
      </c>
      <c r="F13" s="107"/>
      <c r="G13" s="107"/>
      <c r="H13" s="107"/>
    </row>
    <row r="14" spans="1:8" ht="12.75" customHeight="1">
      <c r="A14" s="106"/>
      <c r="B14" s="6"/>
      <c r="C14" s="42" t="s">
        <v>35</v>
      </c>
      <c r="D14" s="42" t="s">
        <v>37</v>
      </c>
      <c r="E14" s="46" t="s">
        <v>30</v>
      </c>
      <c r="F14" s="46" t="s">
        <v>31</v>
      </c>
      <c r="G14" s="46" t="s">
        <v>32</v>
      </c>
      <c r="H14" s="46" t="s">
        <v>7</v>
      </c>
    </row>
    <row r="15" spans="1:8" ht="12.75">
      <c r="A15" s="106"/>
      <c r="B15" s="21"/>
      <c r="C15" s="22"/>
      <c r="D15" s="22"/>
      <c r="E15" s="51">
        <v>1</v>
      </c>
      <c r="F15" s="52">
        <v>1.13</v>
      </c>
      <c r="G15" s="52">
        <v>1.22</v>
      </c>
      <c r="H15" s="53"/>
    </row>
    <row r="16" spans="1:8" ht="12.75">
      <c r="A16" s="106"/>
      <c r="B16" s="6"/>
      <c r="E16" s="47"/>
      <c r="F16" s="48"/>
      <c r="G16" s="48"/>
      <c r="H16" s="49"/>
    </row>
    <row r="17" spans="1:8" ht="12.75">
      <c r="A17" s="106"/>
      <c r="B17" s="14" t="s">
        <v>25</v>
      </c>
      <c r="C17" s="37">
        <v>0.13</v>
      </c>
      <c r="D17" s="37">
        <v>0.55</v>
      </c>
      <c r="E17" s="38">
        <f>ROUND(C$8*C17*(1-D17),-2)</f>
        <v>43900</v>
      </c>
      <c r="F17" s="32">
        <v>0</v>
      </c>
      <c r="G17" s="32">
        <v>0</v>
      </c>
      <c r="H17" s="32">
        <f>SUM(E17:G17)</f>
        <v>43900</v>
      </c>
    </row>
    <row r="18" spans="1:8" ht="12.75">
      <c r="A18" s="106"/>
      <c r="B18" s="14" t="s">
        <v>26</v>
      </c>
      <c r="C18" s="37">
        <v>0.13</v>
      </c>
      <c r="D18" s="37">
        <v>0.55</v>
      </c>
      <c r="E18" s="38">
        <f>ROUND(C$8*C18*(1-D18),-2)</f>
        <v>43900</v>
      </c>
      <c r="F18" s="32">
        <v>0</v>
      </c>
      <c r="G18" s="32">
        <v>0</v>
      </c>
      <c r="H18" s="32">
        <f>SUM(E18:G18)</f>
        <v>43900</v>
      </c>
    </row>
    <row r="19" spans="1:8" ht="12.75">
      <c r="A19" s="106"/>
      <c r="B19" s="14" t="s">
        <v>27</v>
      </c>
      <c r="C19" s="37">
        <v>0.03</v>
      </c>
      <c r="D19" s="37">
        <v>0.55</v>
      </c>
      <c r="E19" s="79">
        <f>ROUND(C$8*C19*(1-D19),-2)</f>
        <v>10100</v>
      </c>
      <c r="F19" s="80">
        <v>0</v>
      </c>
      <c r="G19" s="80">
        <v>0</v>
      </c>
      <c r="H19" s="80">
        <f>SUM(E19:G19)</f>
        <v>10100</v>
      </c>
    </row>
    <row r="20" spans="1:8" ht="12.75">
      <c r="A20" s="106"/>
      <c r="B20" s="31"/>
      <c r="C20" s="37"/>
      <c r="D20" s="37"/>
      <c r="E20" s="39"/>
      <c r="F20" s="33"/>
      <c r="G20" s="33"/>
      <c r="H20" s="33"/>
    </row>
    <row r="21" spans="1:8" ht="12.75">
      <c r="A21" s="106"/>
      <c r="B21" s="14" t="s">
        <v>70</v>
      </c>
      <c r="C21" s="37"/>
      <c r="D21" s="37"/>
      <c r="E21" s="39">
        <v>0</v>
      </c>
      <c r="F21" s="81">
        <f>E23*(F15-1)</f>
        <v>12726.999999999989</v>
      </c>
      <c r="G21" s="81">
        <f>(E23*(G15-1))</f>
        <v>21537.999999999996</v>
      </c>
      <c r="H21" s="33">
        <f>SUM(E21:G21)</f>
        <v>34264.999999999985</v>
      </c>
    </row>
    <row r="22" spans="1:5" ht="12.75">
      <c r="A22" s="106"/>
      <c r="B22" s="14"/>
      <c r="C22" s="37"/>
      <c r="D22" s="37"/>
      <c r="E22" s="38"/>
    </row>
    <row r="23" spans="1:8" ht="12.75">
      <c r="A23" s="106"/>
      <c r="B23" s="56" t="s">
        <v>55</v>
      </c>
      <c r="C23" s="57"/>
      <c r="D23" s="57"/>
      <c r="E23" s="58">
        <f>SUM(E17:E21)</f>
        <v>97900</v>
      </c>
      <c r="F23" s="58">
        <f>SUM(F17:F21)</f>
        <v>12726.999999999989</v>
      </c>
      <c r="G23" s="58">
        <f>SUM(G17:G21)</f>
        <v>21537.999999999996</v>
      </c>
      <c r="H23" s="58">
        <f>SUM(H17:H21)</f>
        <v>132165</v>
      </c>
    </row>
    <row r="24" spans="1:8" ht="12.75">
      <c r="A24" s="23"/>
      <c r="B24" s="15"/>
      <c r="C24" s="40"/>
      <c r="D24" s="40"/>
      <c r="E24" s="38"/>
      <c r="F24" s="38"/>
      <c r="G24" s="38"/>
      <c r="H24" s="38"/>
    </row>
    <row r="25" spans="1:8" ht="12.75">
      <c r="A25" s="23"/>
      <c r="B25" s="15"/>
      <c r="C25" s="40"/>
      <c r="D25" s="40"/>
      <c r="E25" s="107" t="s">
        <v>39</v>
      </c>
      <c r="F25" s="107"/>
      <c r="G25" s="107"/>
      <c r="H25" s="107"/>
    </row>
    <row r="26" spans="1:8" ht="12.75">
      <c r="A26" s="108" t="s">
        <v>57</v>
      </c>
      <c r="B26" s="1" t="s">
        <v>33</v>
      </c>
      <c r="C26" s="40"/>
      <c r="D26" s="40"/>
      <c r="E26" s="46" t="s">
        <v>30</v>
      </c>
      <c r="F26" s="46" t="s">
        <v>31</v>
      </c>
      <c r="G26" s="46" t="s">
        <v>32</v>
      </c>
      <c r="H26" s="46" t="s">
        <v>7</v>
      </c>
    </row>
    <row r="27" spans="1:8" ht="12.75" customHeight="1">
      <c r="A27" s="108"/>
      <c r="B27" s="54"/>
      <c r="C27" s="55"/>
      <c r="D27" s="55"/>
      <c r="E27" s="51">
        <v>1.26</v>
      </c>
      <c r="F27" s="52">
        <v>0.2</v>
      </c>
      <c r="G27" s="52">
        <v>0.4</v>
      </c>
      <c r="H27" s="53"/>
    </row>
    <row r="28" spans="1:7" ht="12.75">
      <c r="A28" s="108"/>
      <c r="B28" s="31"/>
      <c r="C28" s="40"/>
      <c r="D28" s="40"/>
      <c r="E28" s="34"/>
      <c r="F28" s="35"/>
      <c r="G28" s="35"/>
    </row>
    <row r="29" spans="1:8" ht="12.75">
      <c r="A29" s="108"/>
      <c r="B29" s="14" t="s">
        <v>25</v>
      </c>
      <c r="C29" s="40"/>
      <c r="D29" s="36"/>
      <c r="E29" s="36">
        <f>E17/100000*$E$27</f>
        <v>0.55314</v>
      </c>
      <c r="F29" s="36">
        <f>$F$27*E29</f>
        <v>0.110628</v>
      </c>
      <c r="G29" s="36">
        <f>$G$27*E29</f>
        <v>0.221256</v>
      </c>
      <c r="H29" s="36">
        <f>SUM(E29:G29)</f>
        <v>0.8850239999999999</v>
      </c>
    </row>
    <row r="30" spans="1:8" ht="12.75">
      <c r="A30" s="108"/>
      <c r="B30" s="14" t="s">
        <v>26</v>
      </c>
      <c r="C30" s="40"/>
      <c r="D30" s="40"/>
      <c r="E30" s="36">
        <f>E18/100000*$E$27</f>
        <v>0.55314</v>
      </c>
      <c r="F30" s="36">
        <f>$F$27*E30</f>
        <v>0.110628</v>
      </c>
      <c r="G30" s="36">
        <f>$G$27*E30</f>
        <v>0.221256</v>
      </c>
      <c r="H30" s="36">
        <f>SUM(E30:G30)</f>
        <v>0.8850239999999999</v>
      </c>
    </row>
    <row r="31" spans="1:8" ht="12.75">
      <c r="A31" s="108"/>
      <c r="B31" s="14" t="s">
        <v>27</v>
      </c>
      <c r="C31" s="40"/>
      <c r="D31" s="40"/>
      <c r="E31" s="41">
        <f>E19/100000*$E$27</f>
        <v>0.12726</v>
      </c>
      <c r="F31" s="41">
        <f>$F$27*E31</f>
        <v>0.025452000000000002</v>
      </c>
      <c r="G31" s="41">
        <f>$G$27*E31</f>
        <v>0.050904000000000005</v>
      </c>
      <c r="H31" s="41">
        <f>SUM(E31:G31)</f>
        <v>0.20361600000000002</v>
      </c>
    </row>
    <row r="32" spans="1:8" ht="12.75">
      <c r="A32" s="108"/>
      <c r="B32" s="14"/>
      <c r="C32" s="40"/>
      <c r="D32" s="40"/>
      <c r="E32" s="36"/>
      <c r="F32" s="40"/>
      <c r="G32" s="40"/>
      <c r="H32" s="36"/>
    </row>
    <row r="33" spans="1:8" ht="12.75">
      <c r="A33" s="108"/>
      <c r="B33" s="56" t="s">
        <v>56</v>
      </c>
      <c r="C33" s="57"/>
      <c r="D33" s="57"/>
      <c r="E33" s="77">
        <f>SUM(E29:E31)</f>
        <v>1.2335399999999999</v>
      </c>
      <c r="F33" s="77">
        <f>SUM(F29:F31)</f>
        <v>0.246708</v>
      </c>
      <c r="G33" s="77">
        <f>SUM(G29:G31)</f>
        <v>0.493416</v>
      </c>
      <c r="H33" s="77">
        <f>SUM(E33:G33)</f>
        <v>1.9736639999999999</v>
      </c>
    </row>
    <row r="35" spans="1:12" ht="12.75" customHeight="1">
      <c r="A35" s="106" t="s">
        <v>44</v>
      </c>
      <c r="B35" s="16"/>
      <c r="C35" s="17"/>
      <c r="D35" s="17" t="s">
        <v>0</v>
      </c>
      <c r="E35" s="17" t="s">
        <v>1</v>
      </c>
      <c r="F35" s="17" t="s">
        <v>4</v>
      </c>
      <c r="G35" s="17" t="s">
        <v>2</v>
      </c>
      <c r="H35" s="17" t="s">
        <v>3</v>
      </c>
      <c r="I35" s="17" t="s">
        <v>5</v>
      </c>
      <c r="J35" s="17" t="s">
        <v>6</v>
      </c>
      <c r="K35" s="17"/>
      <c r="L35" s="17" t="s">
        <v>7</v>
      </c>
    </row>
    <row r="36" spans="1:12" ht="12.75">
      <c r="A36" s="106"/>
      <c r="B36" s="18"/>
      <c r="C36" s="19"/>
      <c r="D36" s="19"/>
      <c r="E36" s="19" t="s">
        <v>8</v>
      </c>
      <c r="F36" s="19"/>
      <c r="G36" s="19"/>
      <c r="H36" s="19" t="s">
        <v>9</v>
      </c>
      <c r="I36" s="19"/>
      <c r="J36" s="19" t="s">
        <v>10</v>
      </c>
      <c r="K36" s="19"/>
      <c r="L36" s="19"/>
    </row>
    <row r="37" spans="1:12" ht="12.75">
      <c r="A37" s="106"/>
      <c r="B37" s="28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06"/>
      <c r="B38" t="s">
        <v>11</v>
      </c>
      <c r="D38" s="10">
        <f>'Geographies DB'!E16</f>
        <v>0.49</v>
      </c>
      <c r="E38" s="10">
        <f>'Geographies DB'!F16</f>
        <v>0.2</v>
      </c>
      <c r="F38" s="10">
        <f>'Geographies DB'!G16</f>
        <v>0.016</v>
      </c>
      <c r="G38" s="10">
        <f>'Geographies DB'!H16</f>
        <v>0.2</v>
      </c>
      <c r="H38" s="10">
        <f>'Geographies DB'!I16</f>
        <v>0.07</v>
      </c>
      <c r="I38" s="10">
        <f>'Geographies DB'!J16</f>
        <v>0.003</v>
      </c>
      <c r="J38" s="10">
        <f>'Geographies DB'!K16</f>
        <v>0.024</v>
      </c>
      <c r="K38" s="10"/>
      <c r="L38" s="10">
        <f>SUM(D38:J38)</f>
        <v>1.003</v>
      </c>
    </row>
    <row r="39" spans="1:12" ht="12.75">
      <c r="A39" s="106"/>
      <c r="B39" s="70" t="s">
        <v>71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3" s="27" customFormat="1" ht="12.75">
      <c r="A40" s="106"/>
      <c r="B40" s="27" t="s">
        <v>75</v>
      </c>
      <c r="C40" s="5"/>
      <c r="D40" s="82">
        <f>'Geographies DB'!E8</f>
        <v>0.1568005697522595</v>
      </c>
      <c r="E40" s="82">
        <f>'Geographies DB'!F8</f>
        <v>0.41451511708748073</v>
      </c>
      <c r="F40" s="82">
        <f>'Geographies DB'!G8</f>
        <v>0</v>
      </c>
      <c r="G40" s="82">
        <f>'Geographies DB'!H8</f>
        <v>0.1293812422634087</v>
      </c>
      <c r="H40" s="82">
        <f>'Geographies DB'!I8</f>
        <v>0.19004968375358214</v>
      </c>
      <c r="I40" s="82">
        <f>'Geographies DB'!J8</f>
        <v>0</v>
      </c>
      <c r="J40" s="82">
        <f>'Geographies DB'!K8</f>
        <v>0.10925338714326896</v>
      </c>
      <c r="K40" s="82"/>
      <c r="L40" s="82">
        <f>SUM(D40:J40)</f>
        <v>0.9999999999999999</v>
      </c>
      <c r="M40" s="5"/>
    </row>
    <row r="41" spans="1:13" s="27" customFormat="1" ht="12.75">
      <c r="A41" s="106"/>
      <c r="B41" s="27" t="s">
        <v>72</v>
      </c>
      <c r="C41" s="5"/>
      <c r="D41" s="82">
        <f>'Geographies DB'!E9</f>
        <v>0.749</v>
      </c>
      <c r="E41" s="82">
        <f>'Geographies DB'!F9</f>
        <v>0.224</v>
      </c>
      <c r="F41" s="82">
        <f>'Geographies DB'!G9</f>
        <v>0</v>
      </c>
      <c r="G41" s="82">
        <f>'Geographies DB'!H9</f>
        <v>0</v>
      </c>
      <c r="H41" s="82">
        <f>'Geographies DB'!I9</f>
        <v>0.021</v>
      </c>
      <c r="I41" s="82">
        <f>'Geographies DB'!J9</f>
        <v>0.001</v>
      </c>
      <c r="J41" s="82">
        <f>'Geographies DB'!K9</f>
        <v>0.005</v>
      </c>
      <c r="K41" s="82"/>
      <c r="L41" s="82">
        <f>SUM(D41:J41)</f>
        <v>1</v>
      </c>
      <c r="M41" s="5"/>
    </row>
    <row r="42" spans="1:13" s="27" customFormat="1" ht="12.75">
      <c r="A42" s="106"/>
      <c r="B42" s="27" t="s">
        <v>73</v>
      </c>
      <c r="C42" s="5"/>
      <c r="D42" s="82">
        <f>'Geographies DB'!E14</f>
        <v>0.947</v>
      </c>
      <c r="E42" s="82">
        <f>'Geographies DB'!F14</f>
        <v>0.017</v>
      </c>
      <c r="F42" s="82">
        <f>'Geographies DB'!G14</f>
        <v>0.003</v>
      </c>
      <c r="G42" s="82">
        <f>'Geographies DB'!H14</f>
        <v>0</v>
      </c>
      <c r="H42" s="82">
        <f>'Geographies DB'!I14</f>
        <v>0.003</v>
      </c>
      <c r="I42" s="82">
        <f>'Geographies DB'!J14</f>
        <v>0.03</v>
      </c>
      <c r="J42" s="82">
        <f>'Geographies DB'!K14</f>
        <v>0</v>
      </c>
      <c r="K42" s="82"/>
      <c r="L42" s="82">
        <f>SUM(D42:J42)</f>
        <v>1</v>
      </c>
      <c r="M42" s="5"/>
    </row>
    <row r="43" spans="1:13" s="27" customFormat="1" ht="12.75">
      <c r="A43" s="106"/>
      <c r="B43" s="27" t="s">
        <v>74</v>
      </c>
      <c r="C43" s="5"/>
      <c r="D43" s="82">
        <f>'Geographies DB'!E20</f>
        <v>0.973</v>
      </c>
      <c r="E43" s="82">
        <f>'Geographies DB'!F20</f>
        <v>0.003</v>
      </c>
      <c r="F43" s="82">
        <f>'Geographies DB'!G20</f>
        <v>0.003</v>
      </c>
      <c r="G43" s="82">
        <f>'Geographies DB'!H20</f>
        <v>0.018</v>
      </c>
      <c r="H43" s="82">
        <f>'Geographies DB'!I20</f>
        <v>0</v>
      </c>
      <c r="I43" s="82">
        <f>'Geographies DB'!J20</f>
        <v>0.002</v>
      </c>
      <c r="J43" s="82">
        <f>'Geographies DB'!K20</f>
        <v>0.001</v>
      </c>
      <c r="K43" s="82"/>
      <c r="L43" s="82">
        <f>SUM(D43:J43)</f>
        <v>1</v>
      </c>
      <c r="M43" s="5"/>
    </row>
    <row r="44" spans="1:13" s="27" customFormat="1" ht="12.75">
      <c r="A44" s="106"/>
      <c r="C44" s="5"/>
      <c r="D44" s="82"/>
      <c r="E44" s="82"/>
      <c r="F44" s="82"/>
      <c r="G44" s="82"/>
      <c r="H44" s="82"/>
      <c r="I44" s="82"/>
      <c r="J44" s="82"/>
      <c r="K44" s="82"/>
      <c r="L44" s="82"/>
      <c r="M44" s="5"/>
    </row>
    <row r="45" spans="1:12" ht="12.75">
      <c r="A45" s="106"/>
      <c r="B45" s="97" t="s">
        <v>76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106"/>
      <c r="B46" t="s">
        <v>121</v>
      </c>
      <c r="D46" s="10">
        <f>'Geographies DB'!E19</f>
        <v>0.09</v>
      </c>
      <c r="E46" s="10">
        <f>'Geographies DB'!F19</f>
        <v>0.48</v>
      </c>
      <c r="F46" s="10">
        <f>'Geographies DB'!G19</f>
        <v>0</v>
      </c>
      <c r="G46" s="10">
        <f>'Geographies DB'!H19</f>
        <v>0.21</v>
      </c>
      <c r="H46" s="10">
        <f>'Geographies DB'!I19</f>
        <v>0.06</v>
      </c>
      <c r="I46" s="10">
        <f>'Geographies DB'!J19</f>
        <v>0</v>
      </c>
      <c r="J46" s="10">
        <f>'Geographies DB'!K19</f>
        <v>0.16</v>
      </c>
      <c r="K46" s="10"/>
      <c r="L46" s="10">
        <f>SUM(D46:J46)</f>
        <v>0.9999999999999999</v>
      </c>
    </row>
    <row r="47" spans="1:12" ht="12.75">
      <c r="A47" s="106"/>
      <c r="B47" t="s">
        <v>12</v>
      </c>
      <c r="D47" s="10">
        <f>'Geographies DB'!E17</f>
        <v>0.02</v>
      </c>
      <c r="E47" s="10">
        <f>'Geographies DB'!F17</f>
        <v>0.44</v>
      </c>
      <c r="F47" s="10">
        <f>'Geographies DB'!G17</f>
        <v>0</v>
      </c>
      <c r="G47" s="10">
        <f>'Geographies DB'!H17</f>
        <v>0.23</v>
      </c>
      <c r="H47" s="10">
        <f>'Geographies DB'!I17</f>
        <v>0.17</v>
      </c>
      <c r="I47" s="10">
        <f>'Geographies DB'!J17</f>
        <v>0.01</v>
      </c>
      <c r="J47" s="10">
        <f>'Geographies DB'!K17</f>
        <v>0.13</v>
      </c>
      <c r="K47" s="10"/>
      <c r="L47" s="10">
        <f>SUM(D47:J47)</f>
        <v>1</v>
      </c>
    </row>
    <row r="48" spans="1:12" ht="12.75">
      <c r="A48" s="106"/>
      <c r="B48" t="s">
        <v>13</v>
      </c>
      <c r="D48" s="10">
        <f>'Geographies DB'!E18</f>
        <v>0.04</v>
      </c>
      <c r="E48" s="10">
        <f>'Geographies DB'!F18</f>
        <v>0.6</v>
      </c>
      <c r="F48" s="10">
        <f>'Geographies DB'!G18</f>
        <v>0</v>
      </c>
      <c r="G48" s="10">
        <f>'Geographies DB'!H18</f>
        <v>0.01</v>
      </c>
      <c r="H48" s="10">
        <f>'Geographies DB'!I18</f>
        <v>0.21</v>
      </c>
      <c r="I48" s="10">
        <f>'Geographies DB'!J18</f>
        <v>0</v>
      </c>
      <c r="J48" s="10">
        <f>'Geographies DB'!K18</f>
        <v>0.14</v>
      </c>
      <c r="K48" s="10"/>
      <c r="L48" s="10">
        <f>SUM(D48:J48)</f>
        <v>1</v>
      </c>
    </row>
    <row r="49" spans="1:12" ht="12.75">
      <c r="A49" s="106"/>
      <c r="B49" t="s">
        <v>14</v>
      </c>
      <c r="D49" s="10">
        <f>'Geographies DB'!E15</f>
        <v>0.47</v>
      </c>
      <c r="E49" s="10">
        <f>'Geographies DB'!F15</f>
        <v>0.29</v>
      </c>
      <c r="F49" s="10">
        <f>'Geographies DB'!G15</f>
        <v>0</v>
      </c>
      <c r="G49" s="10">
        <f>'Geographies DB'!H15</f>
        <v>0.09</v>
      </c>
      <c r="H49" s="10">
        <f>'Geographies DB'!I15</f>
        <v>0.07</v>
      </c>
      <c r="I49" s="10">
        <f>'Geographies DB'!J15</f>
        <v>0</v>
      </c>
      <c r="J49" s="10">
        <f>'Geographies DB'!K15</f>
        <v>0.08</v>
      </c>
      <c r="K49" s="10"/>
      <c r="L49" s="10">
        <f>SUM(D49:J49)</f>
        <v>0.9999999999999999</v>
      </c>
    </row>
    <row r="50" spans="2:3" ht="12.75">
      <c r="B50" s="16"/>
      <c r="C50" s="9"/>
    </row>
    <row r="51" spans="1:12" ht="12.75">
      <c r="A51" s="106" t="s">
        <v>45</v>
      </c>
      <c r="C51" s="2"/>
      <c r="D51" s="2" t="s">
        <v>0</v>
      </c>
      <c r="E51" s="2" t="s">
        <v>1</v>
      </c>
      <c r="F51" s="2" t="s">
        <v>4</v>
      </c>
      <c r="G51" s="2" t="s">
        <v>2</v>
      </c>
      <c r="H51" s="2" t="s">
        <v>3</v>
      </c>
      <c r="I51" s="2" t="s">
        <v>5</v>
      </c>
      <c r="J51" s="2" t="s">
        <v>6</v>
      </c>
      <c r="K51" s="2"/>
      <c r="L51" s="2" t="s">
        <v>7</v>
      </c>
    </row>
    <row r="52" spans="1:12" ht="12.75">
      <c r="A52" s="106"/>
      <c r="B52" s="21"/>
      <c r="C52" s="22"/>
      <c r="D52" s="19"/>
      <c r="E52" s="19" t="s">
        <v>8</v>
      </c>
      <c r="F52" s="19"/>
      <c r="G52" s="19"/>
      <c r="H52" s="19" t="s">
        <v>9</v>
      </c>
      <c r="I52" s="19"/>
      <c r="J52" s="19" t="s">
        <v>10</v>
      </c>
      <c r="K52" s="19"/>
      <c r="L52" s="19"/>
    </row>
    <row r="53" spans="1:12" ht="12.75">
      <c r="A53" s="106"/>
      <c r="B53" s="28"/>
      <c r="C53" s="29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06"/>
      <c r="B54" s="25" t="s">
        <v>20</v>
      </c>
      <c r="C54" s="4" t="s">
        <v>81</v>
      </c>
      <c r="D54" s="82">
        <f>VLOOKUP($C54,'Geographies DB'!$C$8:$K$21,'Geographies DB'!E1)</f>
        <v>0.47</v>
      </c>
      <c r="E54" s="82">
        <f>VLOOKUP($C54,'Geographies DB'!$C$8:$K$21,'Geographies DB'!F1)</f>
        <v>0.29</v>
      </c>
      <c r="F54" s="82">
        <f>VLOOKUP($C54,'Geographies DB'!$C$8:$K$21,'Geographies DB'!G1)</f>
        <v>0</v>
      </c>
      <c r="G54" s="82">
        <f>VLOOKUP($C54,'Geographies DB'!$C$8:$K$21,'Geographies DB'!H1)</f>
        <v>0.09</v>
      </c>
      <c r="H54" s="82">
        <f>VLOOKUP($C54,'Geographies DB'!$C$8:$K$21,'Geographies DB'!I1)</f>
        <v>0.07</v>
      </c>
      <c r="I54" s="82">
        <f>VLOOKUP($C54,'Geographies DB'!$C$8:$K$21,'Geographies DB'!J1)</f>
        <v>0</v>
      </c>
      <c r="J54" s="82">
        <f>VLOOKUP($C54,'Geographies DB'!$C$8:$K$21,'Geographies DB'!K1)</f>
        <v>0.08</v>
      </c>
      <c r="K54" s="10"/>
      <c r="L54" s="10">
        <f>SUM(D54:J54)</f>
        <v>0.9999999999999999</v>
      </c>
    </row>
    <row r="55" spans="1:12" ht="12.75">
      <c r="A55" s="106"/>
      <c r="B55" s="8" t="s">
        <v>19</v>
      </c>
      <c r="C55" s="9"/>
      <c r="D55" s="11">
        <f>D54*$C$11</f>
        <v>74.1096</v>
      </c>
      <c r="E55" s="11">
        <f aca="true" t="shared" si="0" ref="E55:J55">E54*$C$11</f>
        <v>45.727199999999996</v>
      </c>
      <c r="F55" s="11">
        <f>F54*$C$11</f>
        <v>0</v>
      </c>
      <c r="G55" s="11">
        <f t="shared" si="0"/>
        <v>14.1912</v>
      </c>
      <c r="H55" s="11">
        <f t="shared" si="0"/>
        <v>11.037600000000001</v>
      </c>
      <c r="I55" s="11">
        <f t="shared" si="0"/>
        <v>0</v>
      </c>
      <c r="J55" s="11">
        <f t="shared" si="0"/>
        <v>12.614400000000002</v>
      </c>
      <c r="K55" s="11"/>
      <c r="L55" s="11">
        <f>L54*$C$11</f>
        <v>157.67999999999998</v>
      </c>
    </row>
    <row r="56" spans="1:12" ht="12.75">
      <c r="A56" s="23"/>
      <c r="B56" s="8"/>
      <c r="C56" s="9"/>
      <c r="D56" s="11"/>
      <c r="E56" s="11"/>
      <c r="F56" s="11"/>
      <c r="G56" s="11"/>
      <c r="H56" s="11"/>
      <c r="I56" s="11"/>
      <c r="J56" s="11"/>
      <c r="K56" s="11"/>
      <c r="L56" s="11"/>
    </row>
    <row r="57" spans="2:3" ht="12.75">
      <c r="B57" s="1"/>
      <c r="C57" s="5"/>
    </row>
    <row r="58" spans="1:12" ht="12.75" customHeight="1">
      <c r="A58" s="106" t="s">
        <v>46</v>
      </c>
      <c r="B58" s="1" t="s">
        <v>29</v>
      </c>
      <c r="C58" s="2"/>
      <c r="D58" s="2" t="s">
        <v>0</v>
      </c>
      <c r="E58" s="2" t="s">
        <v>1</v>
      </c>
      <c r="F58" s="2" t="s">
        <v>4</v>
      </c>
      <c r="G58" s="2" t="s">
        <v>2</v>
      </c>
      <c r="H58" s="2" t="s">
        <v>3</v>
      </c>
      <c r="I58" s="2" t="s">
        <v>5</v>
      </c>
      <c r="J58" s="2" t="s">
        <v>6</v>
      </c>
      <c r="K58" s="17"/>
      <c r="L58" s="17"/>
    </row>
    <row r="59" spans="1:12" ht="12.75">
      <c r="A59" s="106"/>
      <c r="B59" s="18"/>
      <c r="C59" s="22"/>
      <c r="D59" s="19"/>
      <c r="E59" s="19" t="s">
        <v>8</v>
      </c>
      <c r="F59" s="19"/>
      <c r="G59" s="19"/>
      <c r="H59" s="19" t="s">
        <v>9</v>
      </c>
      <c r="I59" s="19"/>
      <c r="J59" s="19" t="s">
        <v>10</v>
      </c>
      <c r="K59" s="17"/>
      <c r="L59" s="17"/>
    </row>
    <row r="60" spans="1:12" ht="12.75">
      <c r="A60" s="106"/>
      <c r="B60" s="28"/>
      <c r="C60" s="29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.75">
      <c r="A61" s="106"/>
      <c r="B61" s="8" t="s">
        <v>21</v>
      </c>
      <c r="D61" s="11">
        <f>AVERAGE(1960,2350)</f>
        <v>2155</v>
      </c>
      <c r="E61" s="11">
        <f>AVERAGE(770,1314)</f>
        <v>1042</v>
      </c>
      <c r="F61" s="11">
        <f>AVERAGE(1770,2190)</f>
        <v>1980</v>
      </c>
      <c r="G61" s="11" t="s">
        <v>24</v>
      </c>
      <c r="H61" s="11"/>
      <c r="I61" s="11"/>
      <c r="J61" s="11"/>
      <c r="K61" s="44"/>
      <c r="L61" s="44"/>
    </row>
    <row r="62" spans="1:12" ht="15.75">
      <c r="A62" s="106"/>
      <c r="B62" s="8" t="s">
        <v>22</v>
      </c>
      <c r="D62" s="3">
        <f>AVERAGE(6.1,9.4)</f>
        <v>7.75</v>
      </c>
      <c r="E62" s="12">
        <f>AVERAGE(0.09,3.8)</f>
        <v>1.9449999999999998</v>
      </c>
      <c r="F62" s="3">
        <f>AVERAGE(3,6.8)</f>
        <v>4.9</v>
      </c>
      <c r="G62" s="11" t="s">
        <v>24</v>
      </c>
      <c r="K62" s="29"/>
      <c r="L62" s="29"/>
    </row>
    <row r="63" spans="1:12" ht="15.75">
      <c r="A63" s="106"/>
      <c r="B63" s="8" t="s">
        <v>23</v>
      </c>
      <c r="D63" s="3">
        <v>46.6</v>
      </c>
      <c r="E63" s="3">
        <v>0</v>
      </c>
      <c r="F63" s="3">
        <f>AVERAGE(4.4,25.4)</f>
        <v>14.899999999999999</v>
      </c>
      <c r="G63" s="11" t="s">
        <v>24</v>
      </c>
      <c r="K63" s="29"/>
      <c r="L63" s="29"/>
    </row>
    <row r="64" spans="1:12" ht="8.25" customHeight="1">
      <c r="A64" s="50"/>
      <c r="B64" s="8"/>
      <c r="K64" s="29"/>
      <c r="L64" s="29"/>
    </row>
    <row r="65" spans="1:13" s="73" customFormat="1" ht="25.5">
      <c r="A65" s="20" t="s">
        <v>67</v>
      </c>
      <c r="B65" s="67" t="s">
        <v>68</v>
      </c>
      <c r="C65" s="68"/>
      <c r="D65" s="69">
        <f>AVERAGE(0.062,0.147)</f>
        <v>0.1045</v>
      </c>
      <c r="E65" s="69">
        <v>0.001</v>
      </c>
      <c r="F65" s="69">
        <f>0.005</f>
        <v>0.005</v>
      </c>
      <c r="G65" s="71" t="s">
        <v>24</v>
      </c>
      <c r="H65" s="69"/>
      <c r="I65" s="68"/>
      <c r="J65" s="68"/>
      <c r="K65" s="72"/>
      <c r="L65" s="72"/>
      <c r="M65" s="68"/>
    </row>
    <row r="66" spans="1:12" ht="12.75">
      <c r="A66" s="23"/>
      <c r="B66" s="8"/>
      <c r="D66" s="13"/>
      <c r="E66" s="13"/>
      <c r="F66" s="13"/>
      <c r="G66" s="11"/>
      <c r="H66" s="13"/>
      <c r="K66" s="29"/>
      <c r="L66" s="29"/>
    </row>
    <row r="67" spans="11:12" ht="12.75">
      <c r="K67" s="29"/>
      <c r="L67" s="29"/>
    </row>
    <row r="68" spans="1:12" ht="12.75" customHeight="1">
      <c r="A68" s="106" t="s">
        <v>47</v>
      </c>
      <c r="B68" s="1" t="s">
        <v>29</v>
      </c>
      <c r="C68" s="2"/>
      <c r="D68" s="2" t="s">
        <v>0</v>
      </c>
      <c r="E68" s="2" t="s">
        <v>1</v>
      </c>
      <c r="F68" s="2" t="s">
        <v>4</v>
      </c>
      <c r="G68" s="2" t="s">
        <v>2</v>
      </c>
      <c r="H68" s="2" t="s">
        <v>3</v>
      </c>
      <c r="I68" s="2" t="s">
        <v>5</v>
      </c>
      <c r="J68" s="2" t="s">
        <v>6</v>
      </c>
      <c r="K68" s="17"/>
      <c r="L68" s="2" t="s">
        <v>7</v>
      </c>
    </row>
    <row r="69" spans="1:12" ht="12.75">
      <c r="A69" s="106"/>
      <c r="B69" s="18"/>
      <c r="C69" s="22"/>
      <c r="D69" s="19"/>
      <c r="E69" s="19" t="s">
        <v>8</v>
      </c>
      <c r="F69" s="19"/>
      <c r="G69" s="19"/>
      <c r="H69" s="19" t="s">
        <v>9</v>
      </c>
      <c r="I69" s="19"/>
      <c r="J69" s="19" t="s">
        <v>10</v>
      </c>
      <c r="K69" s="19"/>
      <c r="L69" s="19"/>
    </row>
    <row r="70" spans="1:12" ht="12.75">
      <c r="A70" s="106"/>
      <c r="B70" s="28"/>
      <c r="C70" s="29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>
      <c r="A71" s="106"/>
      <c r="B71" s="61" t="s">
        <v>64</v>
      </c>
      <c r="C71" s="59"/>
      <c r="D71" s="62">
        <f>D$55*D61</f>
        <v>159706.188</v>
      </c>
      <c r="E71" s="62">
        <f aca="true" t="shared" si="1" ref="D71:F73">E$55*E61</f>
        <v>47647.742399999996</v>
      </c>
      <c r="F71" s="62">
        <f t="shared" si="1"/>
        <v>0</v>
      </c>
      <c r="G71" s="62"/>
      <c r="H71" s="59"/>
      <c r="I71" s="59"/>
      <c r="J71" s="59"/>
      <c r="K71" s="90"/>
      <c r="L71" s="62">
        <f>SUM(D71:J71)</f>
        <v>207353.93039999998</v>
      </c>
    </row>
    <row r="72" spans="1:12" ht="14.25">
      <c r="A72" s="106"/>
      <c r="B72" s="61" t="s">
        <v>65</v>
      </c>
      <c r="C72" s="59"/>
      <c r="D72" s="62">
        <f t="shared" si="1"/>
        <v>574.3494000000001</v>
      </c>
      <c r="E72" s="62">
        <f t="shared" si="1"/>
        <v>88.93940399999998</v>
      </c>
      <c r="F72" s="62">
        <f t="shared" si="1"/>
        <v>0</v>
      </c>
      <c r="G72" s="62"/>
      <c r="H72" s="59"/>
      <c r="I72" s="59"/>
      <c r="J72" s="59"/>
      <c r="K72" s="90"/>
      <c r="L72" s="62">
        <f>SUM(D72:J72)</f>
        <v>663.288804</v>
      </c>
    </row>
    <row r="73" spans="1:12" ht="14.25">
      <c r="A73" s="106"/>
      <c r="B73" s="61" t="s">
        <v>66</v>
      </c>
      <c r="C73" s="59"/>
      <c r="D73" s="62">
        <f t="shared" si="1"/>
        <v>3453.50736</v>
      </c>
      <c r="E73" s="62">
        <f t="shared" si="1"/>
        <v>0</v>
      </c>
      <c r="F73" s="62">
        <f t="shared" si="1"/>
        <v>0</v>
      </c>
      <c r="G73" s="62"/>
      <c r="H73" s="59"/>
      <c r="I73" s="59"/>
      <c r="J73" s="59"/>
      <c r="K73" s="90"/>
      <c r="L73" s="62">
        <f>SUM(D73:J73)</f>
        <v>3453.50736</v>
      </c>
    </row>
    <row r="74" spans="1:13" s="66" customFormat="1" ht="9" customHeight="1">
      <c r="A74" s="50"/>
      <c r="B74" s="63"/>
      <c r="C74" s="64"/>
      <c r="D74" s="64"/>
      <c r="E74" s="64"/>
      <c r="F74" s="64"/>
      <c r="G74" s="64"/>
      <c r="H74" s="64"/>
      <c r="I74" s="64"/>
      <c r="J74" s="64"/>
      <c r="K74" s="65"/>
      <c r="L74" s="89"/>
      <c r="M74" s="65"/>
    </row>
    <row r="75" spans="1:13" s="73" customFormat="1" ht="25.5">
      <c r="A75" s="20" t="s">
        <v>67</v>
      </c>
      <c r="B75" s="74" t="s">
        <v>68</v>
      </c>
      <c r="C75" s="75"/>
      <c r="D75" s="88">
        <f>D$55/1000*D65</f>
        <v>0.007744453199999999</v>
      </c>
      <c r="E75" s="88">
        <f>E$55/1000*E65</f>
        <v>4.57272E-05</v>
      </c>
      <c r="F75" s="88">
        <f>F$55/1000*F65</f>
        <v>0</v>
      </c>
      <c r="G75" s="76"/>
      <c r="H75" s="75"/>
      <c r="I75" s="75"/>
      <c r="J75" s="75"/>
      <c r="K75" s="91"/>
      <c r="L75" s="76">
        <f>SUM(D75:J75)</f>
        <v>0.007790180399999999</v>
      </c>
      <c r="M75" s="68"/>
    </row>
    <row r="76" spans="1:13" s="27" customFormat="1" ht="12.75">
      <c r="A76" s="24"/>
      <c r="B76" s="25"/>
      <c r="C76" s="5"/>
      <c r="D76" s="26"/>
      <c r="E76" s="26"/>
      <c r="F76" s="26"/>
      <c r="G76" s="26"/>
      <c r="H76" s="5"/>
      <c r="I76" s="5"/>
      <c r="J76" s="5"/>
      <c r="K76" s="5"/>
      <c r="L76" s="5"/>
      <c r="M76" s="5"/>
    </row>
    <row r="77" spans="1:13" s="27" customFormat="1" ht="12.75">
      <c r="A77" s="24"/>
      <c r="B77" s="25"/>
      <c r="C77" s="5"/>
      <c r="D77" s="26"/>
      <c r="E77" s="26"/>
      <c r="F77" s="26"/>
      <c r="G77" s="26"/>
      <c r="H77" s="5"/>
      <c r="I77" s="5"/>
      <c r="J77" s="5"/>
      <c r="K77" s="5"/>
      <c r="L77" s="5"/>
      <c r="M77" s="5"/>
    </row>
    <row r="78" spans="1:13" s="27" customFormat="1" ht="12.75">
      <c r="A78" s="108" t="s">
        <v>98</v>
      </c>
      <c r="C78" s="86" t="s">
        <v>95</v>
      </c>
      <c r="E78" s="95" t="s">
        <v>97</v>
      </c>
      <c r="F78" s="26"/>
      <c r="G78" s="26"/>
      <c r="H78" s="5"/>
      <c r="I78" s="5"/>
      <c r="J78" s="5"/>
      <c r="K78" s="5"/>
      <c r="L78" s="5"/>
      <c r="M78" s="5"/>
    </row>
    <row r="79" spans="1:13" s="27" customFormat="1" ht="12.75">
      <c r="A79" s="108"/>
      <c r="B79" s="83"/>
      <c r="C79" s="92"/>
      <c r="D79" s="94"/>
      <c r="E79" s="93"/>
      <c r="F79" s="93"/>
      <c r="G79" s="93"/>
      <c r="H79" s="92"/>
      <c r="I79" s="92"/>
      <c r="J79" s="92"/>
      <c r="K79" s="92"/>
      <c r="L79" s="92"/>
      <c r="M79" s="5"/>
    </row>
    <row r="80" spans="1:13" s="27" customFormat="1" ht="12.75">
      <c r="A80" s="108"/>
      <c r="B80" s="84"/>
      <c r="C80" s="5"/>
      <c r="E80" s="26"/>
      <c r="F80" s="26"/>
      <c r="G80" s="26"/>
      <c r="H80" s="5"/>
      <c r="I80" s="5"/>
      <c r="J80" s="5"/>
      <c r="K80" s="5"/>
      <c r="L80" s="5"/>
      <c r="M80" s="5"/>
    </row>
    <row r="81" spans="1:13" s="27" customFormat="1" ht="12.75">
      <c r="A81" s="108"/>
      <c r="B81" s="87" t="s">
        <v>96</v>
      </c>
      <c r="E81" s="26"/>
      <c r="F81" s="26"/>
      <c r="G81" s="26"/>
      <c r="H81" s="5"/>
      <c r="I81" s="5"/>
      <c r="J81" s="5"/>
      <c r="K81" s="5"/>
      <c r="L81" s="5"/>
      <c r="M81" s="5"/>
    </row>
    <row r="82" spans="1:13" s="27" customFormat="1" ht="12.75">
      <c r="A82" s="108"/>
      <c r="B82" s="14" t="s">
        <v>84</v>
      </c>
      <c r="C82" s="85">
        <v>0.0044</v>
      </c>
      <c r="E82" s="96">
        <f>C82*$C$9*($D$54+$E$54+$F$54)</f>
        <v>0.00033440000000000005</v>
      </c>
      <c r="F82" s="26"/>
      <c r="G82" s="26"/>
      <c r="H82" s="5"/>
      <c r="I82" s="5"/>
      <c r="J82" s="5"/>
      <c r="K82" s="5"/>
      <c r="L82" s="5"/>
      <c r="M82" s="5"/>
    </row>
    <row r="83" spans="1:13" s="27" customFormat="1" ht="12.75">
      <c r="A83" s="108"/>
      <c r="B83" s="14" t="s">
        <v>85</v>
      </c>
      <c r="C83" s="85">
        <v>0.003</v>
      </c>
      <c r="E83" s="96">
        <f aca="true" t="shared" si="2" ref="E83:E92">C83*$C$9*($D$54+$E$54+$F$54)</f>
        <v>0.000228</v>
      </c>
      <c r="F83" s="26"/>
      <c r="G83" s="26"/>
      <c r="H83" s="5"/>
      <c r="I83" s="5"/>
      <c r="J83" s="5"/>
      <c r="K83" s="5"/>
      <c r="L83" s="5"/>
      <c r="M83" s="5"/>
    </row>
    <row r="84" spans="1:13" s="27" customFormat="1" ht="12.75">
      <c r="A84" s="108"/>
      <c r="B84" s="14" t="s">
        <v>86</v>
      </c>
      <c r="C84" s="85">
        <v>0.0072</v>
      </c>
      <c r="E84" s="96">
        <f t="shared" si="2"/>
        <v>0.0005472000000000001</v>
      </c>
      <c r="F84" s="26"/>
      <c r="G84" s="26"/>
      <c r="H84" s="5"/>
      <c r="I84" s="5"/>
      <c r="J84" s="5"/>
      <c r="K84" s="5"/>
      <c r="L84" s="5"/>
      <c r="M84" s="5"/>
    </row>
    <row r="85" spans="1:13" s="27" customFormat="1" ht="12.75">
      <c r="A85" s="108"/>
      <c r="B85" s="14" t="s">
        <v>87</v>
      </c>
      <c r="C85" s="85">
        <v>0.0022</v>
      </c>
      <c r="E85" s="96">
        <f t="shared" si="2"/>
        <v>0.00016720000000000003</v>
      </c>
      <c r="F85" s="26"/>
      <c r="G85" s="26"/>
      <c r="H85" s="5"/>
      <c r="I85" s="5"/>
      <c r="J85" s="5"/>
      <c r="K85" s="5"/>
      <c r="L85" s="5"/>
      <c r="M85" s="5"/>
    </row>
    <row r="86" spans="1:13" s="27" customFormat="1" ht="12.75">
      <c r="A86" s="108"/>
      <c r="B86" s="14" t="s">
        <v>88</v>
      </c>
      <c r="C86" s="85">
        <v>0.0018</v>
      </c>
      <c r="E86" s="96">
        <f t="shared" si="2"/>
        <v>0.00013680000000000002</v>
      </c>
      <c r="F86" s="26"/>
      <c r="G86" s="26"/>
      <c r="H86" s="5"/>
      <c r="I86" s="5"/>
      <c r="J86" s="5"/>
      <c r="K86" s="5"/>
      <c r="L86" s="5"/>
      <c r="M86" s="5"/>
    </row>
    <row r="87" spans="1:13" s="27" customFormat="1" ht="12.75">
      <c r="A87" s="108"/>
      <c r="B87" s="14" t="s">
        <v>89</v>
      </c>
      <c r="C87" s="85">
        <v>0.0048</v>
      </c>
      <c r="E87" s="96">
        <f t="shared" si="2"/>
        <v>0.0003648</v>
      </c>
      <c r="F87" s="26"/>
      <c r="G87" s="26"/>
      <c r="H87" s="5"/>
      <c r="I87" s="5"/>
      <c r="J87" s="5"/>
      <c r="K87" s="5"/>
      <c r="L87" s="5"/>
      <c r="M87" s="5"/>
    </row>
    <row r="88" spans="1:13" s="27" customFormat="1" ht="12.75">
      <c r="A88" s="108"/>
      <c r="B88" s="14" t="s">
        <v>90</v>
      </c>
      <c r="C88" s="85">
        <v>0.007</v>
      </c>
      <c r="E88" s="96">
        <f t="shared" si="2"/>
        <v>0.000532</v>
      </c>
      <c r="F88" s="26"/>
      <c r="G88" s="26"/>
      <c r="H88" s="5"/>
      <c r="I88" s="5"/>
      <c r="J88" s="5"/>
      <c r="K88" s="5"/>
      <c r="L88" s="5"/>
      <c r="M88" s="5"/>
    </row>
    <row r="89" spans="1:13" s="27" customFormat="1" ht="12.75">
      <c r="A89" s="108"/>
      <c r="B89" s="14" t="s">
        <v>91</v>
      </c>
      <c r="C89" s="85">
        <v>0.07940000000000001</v>
      </c>
      <c r="E89" s="96">
        <f t="shared" si="2"/>
        <v>0.0060344000000000005</v>
      </c>
      <c r="F89" s="26"/>
      <c r="G89" s="26"/>
      <c r="H89" s="5"/>
      <c r="I89" s="5"/>
      <c r="J89" s="5"/>
      <c r="K89" s="5"/>
      <c r="L89" s="5"/>
      <c r="M89" s="5"/>
    </row>
    <row r="90" spans="1:13" s="27" customFormat="1" ht="12.75">
      <c r="A90" s="108"/>
      <c r="B90" s="14" t="s">
        <v>92</v>
      </c>
      <c r="C90" s="85">
        <v>0.0638</v>
      </c>
      <c r="E90" s="96">
        <f t="shared" si="2"/>
        <v>0.0048488</v>
      </c>
      <c r="F90" s="26"/>
      <c r="G90" s="26"/>
      <c r="H90" s="5"/>
      <c r="I90" s="5"/>
      <c r="J90" s="5"/>
      <c r="K90" s="5"/>
      <c r="L90" s="5"/>
      <c r="M90" s="5"/>
    </row>
    <row r="91" spans="1:13" s="27" customFormat="1" ht="12.75">
      <c r="A91" s="108"/>
      <c r="B91" s="14" t="s">
        <v>93</v>
      </c>
      <c r="C91" s="85">
        <v>0.5076</v>
      </c>
      <c r="E91" s="96">
        <f t="shared" si="2"/>
        <v>0.038577600000000004</v>
      </c>
      <c r="F91" s="26"/>
      <c r="G91" s="26"/>
      <c r="H91" s="5"/>
      <c r="I91" s="5"/>
      <c r="J91" s="5"/>
      <c r="K91" s="5"/>
      <c r="L91" s="5"/>
      <c r="M91" s="5"/>
    </row>
    <row r="92" spans="1:13" s="27" customFormat="1" ht="12.75">
      <c r="A92" s="108"/>
      <c r="B92" s="14" t="s">
        <v>94</v>
      </c>
      <c r="C92" s="85">
        <v>3.4878</v>
      </c>
      <c r="E92" s="96">
        <f t="shared" si="2"/>
        <v>0.26507280000000005</v>
      </c>
      <c r="F92" s="26"/>
      <c r="G92" s="26"/>
      <c r="H92" s="5"/>
      <c r="I92" s="5"/>
      <c r="J92" s="5"/>
      <c r="K92" s="5"/>
      <c r="L92" s="5"/>
      <c r="M92" s="5"/>
    </row>
    <row r="93" spans="1:13" s="27" customFormat="1" ht="12.75">
      <c r="A93" s="24"/>
      <c r="B93" s="25"/>
      <c r="C93" s="5"/>
      <c r="D93" s="26"/>
      <c r="E93" s="26"/>
      <c r="F93" s="26"/>
      <c r="G93" s="26"/>
      <c r="H93" s="5"/>
      <c r="I93" s="5"/>
      <c r="J93" s="5"/>
      <c r="K93" s="5"/>
      <c r="L93" s="5"/>
      <c r="M93" s="5"/>
    </row>
    <row r="95" ht="12.75">
      <c r="B95" s="78" t="s">
        <v>69</v>
      </c>
    </row>
    <row r="96" ht="12.75">
      <c r="B96" s="45" t="s">
        <v>38</v>
      </c>
    </row>
    <row r="103" ht="12.75">
      <c r="C103" s="99" t="s">
        <v>77</v>
      </c>
    </row>
    <row r="104" ht="12.75">
      <c r="C104" s="3" t="str">
        <f>'Geographies DB'!C8</f>
        <v>California</v>
      </c>
    </row>
    <row r="105" ht="12.75">
      <c r="C105" s="3" t="str">
        <f>'Geographies DB'!C9</f>
        <v>Colorado</v>
      </c>
    </row>
    <row r="106" ht="12.75">
      <c r="C106" s="3" t="str">
        <f>'Geographies DB'!C10</f>
        <v>Free A</v>
      </c>
    </row>
    <row r="107" ht="12.75">
      <c r="C107" s="3" t="str">
        <f>'Geographies DB'!C11</f>
        <v>Free B</v>
      </c>
    </row>
    <row r="108" ht="12.75">
      <c r="C108" s="3" t="str">
        <f>'Geographies DB'!C12</f>
        <v>Free C</v>
      </c>
    </row>
    <row r="109" ht="12.75">
      <c r="C109" s="3" t="str">
        <f>'Geographies DB'!C13</f>
        <v>Free D</v>
      </c>
    </row>
    <row r="110" ht="12.75">
      <c r="C110" s="3" t="str">
        <f>'Geographies DB'!C14</f>
        <v>Indiana</v>
      </c>
    </row>
    <row r="111" ht="12.75">
      <c r="C111" s="3" t="str">
        <f>'Geographies DB'!C15</f>
        <v>LADPW</v>
      </c>
    </row>
    <row r="112" ht="12.75">
      <c r="C112" s="3" t="str">
        <f>'Geographies DB'!C16</f>
        <v>National Ave.</v>
      </c>
    </row>
    <row r="113" ht="12.75">
      <c r="C113" s="3" t="str">
        <f>'Geographies DB'!C17</f>
        <v>PG&amp;E</v>
      </c>
    </row>
    <row r="114" ht="12.75">
      <c r="C114" s="3" t="str">
        <f>'Geographies DB'!C18</f>
        <v>SMUD</v>
      </c>
    </row>
    <row r="115" ht="12.75">
      <c r="C115" s="3" t="str">
        <f>'Geographies DB'!C19</f>
        <v>SoCal Edison</v>
      </c>
    </row>
    <row r="116" ht="12.75">
      <c r="C116" s="3" t="str">
        <f>'Geographies DB'!C20</f>
        <v>West Virginia</v>
      </c>
    </row>
  </sheetData>
  <sheetProtection/>
  <mergeCells count="13">
    <mergeCell ref="A78:A92"/>
    <mergeCell ref="A35:A49"/>
    <mergeCell ref="A51:A55"/>
    <mergeCell ref="A68:A73"/>
    <mergeCell ref="F2:H2"/>
    <mergeCell ref="F3:H3"/>
    <mergeCell ref="F4:H4"/>
    <mergeCell ref="A58:A63"/>
    <mergeCell ref="E13:H13"/>
    <mergeCell ref="A13:A23"/>
    <mergeCell ref="E25:H25"/>
    <mergeCell ref="A26:A33"/>
    <mergeCell ref="A6:A11"/>
  </mergeCells>
  <dataValidations count="1">
    <dataValidation type="list" allowBlank="1" showInputMessage="1" showErrorMessage="1" sqref="C54">
      <formula1>$C$104:$C$116</formula1>
    </dataValidation>
  </dataValidations>
  <printOptions gridLines="1"/>
  <pageMargins left="0.75" right="0.75" top="1" bottom="1" header="0.5" footer="0.5"/>
  <pageSetup fitToHeight="0" fitToWidth="0" horizontalDpi="600" verticalDpi="600" orientation="landscape" scale="70" r:id="rId1"/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="85" zoomScaleNormal="85" zoomScalePageLayoutView="0" workbookViewId="0" topLeftCell="A19">
      <selection activeCell="B17" sqref="B17"/>
    </sheetView>
  </sheetViews>
  <sheetFormatPr defaultColWidth="9.140625" defaultRowHeight="12.75"/>
  <cols>
    <col min="1" max="1" width="17.7109375" style="0" customWidth="1"/>
    <col min="2" max="2" width="97.00390625" style="0" bestFit="1" customWidth="1"/>
  </cols>
  <sheetData>
    <row r="1" ht="12.75">
      <c r="B1" s="1" t="s">
        <v>123</v>
      </c>
    </row>
    <row r="5" spans="1:2" ht="12.75">
      <c r="A5" s="106" t="s">
        <v>41</v>
      </c>
      <c r="B5" s="70" t="s">
        <v>101</v>
      </c>
    </row>
    <row r="6" spans="1:2" ht="12.75">
      <c r="A6" s="106"/>
      <c r="B6" t="s">
        <v>48</v>
      </c>
    </row>
    <row r="7" spans="1:2" ht="12.75">
      <c r="A7" s="106"/>
      <c r="B7" t="s">
        <v>49</v>
      </c>
    </row>
    <row r="8" ht="12.75">
      <c r="A8" s="106"/>
    </row>
    <row r="9" ht="12.75">
      <c r="A9" s="106"/>
    </row>
    <row r="11" spans="1:2" ht="12.75" customHeight="1">
      <c r="A11" s="106" t="s">
        <v>42</v>
      </c>
      <c r="B11" s="70" t="s">
        <v>101</v>
      </c>
    </row>
    <row r="12" spans="1:2" ht="12.75">
      <c r="A12" s="106"/>
      <c r="B12" t="s">
        <v>50</v>
      </c>
    </row>
    <row r="13" spans="1:2" ht="12.75">
      <c r="A13" s="106"/>
      <c r="B13" s="70" t="s">
        <v>100</v>
      </c>
    </row>
    <row r="14" spans="1:2" ht="12.75">
      <c r="A14" s="106"/>
      <c r="B14" t="s">
        <v>103</v>
      </c>
    </row>
    <row r="15" spans="1:2" ht="12.75">
      <c r="A15" s="106"/>
      <c r="B15" s="60" t="s">
        <v>104</v>
      </c>
    </row>
    <row r="16" spans="1:2" ht="12.75">
      <c r="A16" s="106"/>
      <c r="B16" t="s">
        <v>105</v>
      </c>
    </row>
    <row r="17" spans="1:2" ht="12.75">
      <c r="A17" s="106"/>
      <c r="B17" s="60" t="s">
        <v>106</v>
      </c>
    </row>
    <row r="18" ht="12.75">
      <c r="B18" s="60"/>
    </row>
    <row r="19" spans="1:2" ht="12.75">
      <c r="A19" s="108" t="s">
        <v>43</v>
      </c>
      <c r="B19" s="70" t="s">
        <v>101</v>
      </c>
    </row>
    <row r="20" spans="1:2" ht="12.75">
      <c r="A20" s="108"/>
      <c r="B20" t="s">
        <v>54</v>
      </c>
    </row>
    <row r="21" ht="12.75">
      <c r="A21" s="108"/>
    </row>
    <row r="22" ht="12.75">
      <c r="A22" s="108"/>
    </row>
    <row r="24" spans="1:2" ht="12.75">
      <c r="A24" s="106" t="s">
        <v>44</v>
      </c>
      <c r="B24" s="70" t="s">
        <v>101</v>
      </c>
    </row>
    <row r="25" spans="1:2" ht="12.75">
      <c r="A25" s="106"/>
      <c r="B25" t="s">
        <v>58</v>
      </c>
    </row>
    <row r="26" spans="1:2" ht="12.75">
      <c r="A26" s="106"/>
      <c r="B26" t="s">
        <v>59</v>
      </c>
    </row>
    <row r="27" spans="1:2" ht="12.75">
      <c r="A27" s="106"/>
      <c r="B27" s="60" t="s">
        <v>60</v>
      </c>
    </row>
    <row r="28" spans="1:2" ht="12.75">
      <c r="A28" s="106"/>
      <c r="B28" s="60" t="s">
        <v>61</v>
      </c>
    </row>
    <row r="30" spans="1:2" ht="12.75">
      <c r="A30" s="106" t="s">
        <v>45</v>
      </c>
      <c r="B30" s="70" t="s">
        <v>101</v>
      </c>
    </row>
    <row r="31" spans="1:2" ht="12.75">
      <c r="A31" s="106"/>
      <c r="B31" t="s">
        <v>62</v>
      </c>
    </row>
    <row r="32" ht="12.75">
      <c r="A32" s="106"/>
    </row>
    <row r="34" spans="1:2" ht="12.75" customHeight="1">
      <c r="A34" s="109" t="s">
        <v>46</v>
      </c>
      <c r="B34" s="70" t="s">
        <v>101</v>
      </c>
    </row>
    <row r="35" spans="1:2" ht="12.75">
      <c r="A35" s="109"/>
      <c r="B35" t="s">
        <v>99</v>
      </c>
    </row>
    <row r="36" spans="1:2" ht="12.75">
      <c r="A36" s="109"/>
      <c r="B36" s="70" t="s">
        <v>100</v>
      </c>
    </row>
    <row r="37" spans="1:2" ht="12.75">
      <c r="A37" s="109"/>
      <c r="B37" s="97" t="s">
        <v>107</v>
      </c>
    </row>
    <row r="38" spans="1:2" ht="12.75">
      <c r="A38" s="109"/>
      <c r="B38" s="102" t="s">
        <v>122</v>
      </c>
    </row>
    <row r="40" spans="1:2" ht="12.75">
      <c r="A40" s="106" t="s">
        <v>47</v>
      </c>
      <c r="B40" s="70" t="s">
        <v>101</v>
      </c>
    </row>
    <row r="41" spans="1:2" ht="12.75">
      <c r="A41" s="106"/>
      <c r="B41" t="s">
        <v>63</v>
      </c>
    </row>
    <row r="42" ht="12.75">
      <c r="A42" s="106"/>
    </row>
    <row r="43" ht="12.75">
      <c r="A43" s="106"/>
    </row>
    <row r="44" ht="12.75">
      <c r="A44" s="106"/>
    </row>
    <row r="46" spans="1:2" ht="12.75">
      <c r="A46" s="106" t="s">
        <v>98</v>
      </c>
      <c r="B46" s="70" t="s">
        <v>101</v>
      </c>
    </row>
    <row r="47" spans="1:2" ht="12.75">
      <c r="A47" s="106"/>
      <c r="B47" t="s">
        <v>108</v>
      </c>
    </row>
    <row r="48" spans="1:2" ht="12.75">
      <c r="A48" s="106"/>
      <c r="B48" s="60" t="s">
        <v>118</v>
      </c>
    </row>
    <row r="49" spans="1:2" ht="12.75">
      <c r="A49" s="106"/>
      <c r="B49" s="60" t="s">
        <v>119</v>
      </c>
    </row>
    <row r="50" spans="1:2" ht="12.75">
      <c r="A50" s="106"/>
      <c r="B50" s="60" t="s">
        <v>120</v>
      </c>
    </row>
    <row r="51" spans="1:2" ht="12.75">
      <c r="A51" s="106"/>
      <c r="B51" s="70" t="s">
        <v>100</v>
      </c>
    </row>
    <row r="52" spans="1:2" ht="12.75">
      <c r="A52" s="106"/>
      <c r="B52" t="s">
        <v>109</v>
      </c>
    </row>
    <row r="53" spans="1:2" ht="12.75">
      <c r="A53" s="106"/>
      <c r="B53" s="60" t="s">
        <v>110</v>
      </c>
    </row>
  </sheetData>
  <sheetProtection/>
  <mergeCells count="8">
    <mergeCell ref="A46:A53"/>
    <mergeCell ref="A30:A32"/>
    <mergeCell ref="A40:A44"/>
    <mergeCell ref="A34:A38"/>
    <mergeCell ref="A5:A9"/>
    <mergeCell ref="A19:A22"/>
    <mergeCell ref="A24:A28"/>
    <mergeCell ref="A11:A17"/>
  </mergeCells>
  <hyperlinks>
    <hyperlink ref="B38" r:id="rId1" display="http://www.powerscorecard.org/  See Methodology publication, September 22, 2000 revised February 1, 2005."/>
  </hyperlinks>
  <printOptions gridLines="1"/>
  <pageMargins left="0.75" right="0.75" top="1" bottom="1" header="0.5" footer="0.5"/>
  <pageSetup fitToHeight="1" fitToWidth="1" horizontalDpi="600" verticalDpi="600" orientation="landscape" scale="7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I25" sqref="I25"/>
    </sheetView>
  </sheetViews>
  <sheetFormatPr defaultColWidth="9.140625" defaultRowHeight="12.75"/>
  <cols>
    <col min="1" max="1" width="15.7109375" style="0" customWidth="1"/>
    <col min="3" max="3" width="12.28125" style="0" bestFit="1" customWidth="1"/>
    <col min="7" max="7" width="10.00390625" style="0" customWidth="1"/>
  </cols>
  <sheetData>
    <row r="1" spans="1:11" s="100" customFormat="1" ht="11.25">
      <c r="A1" s="101" t="s">
        <v>102</v>
      </c>
      <c r="B1" s="100" t="s">
        <v>83</v>
      </c>
      <c r="C1" s="100">
        <v>1</v>
      </c>
      <c r="D1" s="100">
        <v>2</v>
      </c>
      <c r="E1" s="100">
        <v>3</v>
      </c>
      <c r="F1" s="100">
        <v>4</v>
      </c>
      <c r="G1" s="100">
        <v>5</v>
      </c>
      <c r="H1" s="100">
        <v>6</v>
      </c>
      <c r="I1" s="100">
        <v>7</v>
      </c>
      <c r="J1" s="100">
        <v>8</v>
      </c>
      <c r="K1" s="100">
        <v>9</v>
      </c>
    </row>
    <row r="3" spans="5:11" ht="12.75">
      <c r="E3" s="17" t="s">
        <v>0</v>
      </c>
      <c r="F3" s="17" t="s">
        <v>1</v>
      </c>
      <c r="G3" s="17" t="s">
        <v>4</v>
      </c>
      <c r="H3" s="17" t="s">
        <v>2</v>
      </c>
      <c r="I3" s="17" t="s">
        <v>3</v>
      </c>
      <c r="J3" s="17" t="s">
        <v>5</v>
      </c>
      <c r="K3" s="17" t="s">
        <v>6</v>
      </c>
    </row>
    <row r="4" spans="5:11" ht="12.75">
      <c r="E4" s="19"/>
      <c r="F4" s="19" t="s">
        <v>8</v>
      </c>
      <c r="G4" s="19"/>
      <c r="H4" s="19"/>
      <c r="I4" s="19" t="s">
        <v>9</v>
      </c>
      <c r="J4" s="19"/>
      <c r="K4" s="19" t="s">
        <v>10</v>
      </c>
    </row>
    <row r="8" spans="3:11" ht="12.75">
      <c r="C8" s="3" t="s">
        <v>75</v>
      </c>
      <c r="E8" s="82">
        <v>0.1568005697522595</v>
      </c>
      <c r="F8" s="82">
        <v>0.41451511708748073</v>
      </c>
      <c r="G8" s="82">
        <v>0</v>
      </c>
      <c r="H8" s="82">
        <v>0.1293812422634087</v>
      </c>
      <c r="I8" s="82">
        <v>0.19004968375358214</v>
      </c>
      <c r="J8" s="82">
        <v>0</v>
      </c>
      <c r="K8" s="82">
        <v>0.10925338714326896</v>
      </c>
    </row>
    <row r="9" spans="3:11" ht="12.75">
      <c r="C9" s="3" t="s">
        <v>72</v>
      </c>
      <c r="E9" s="82">
        <v>0.749</v>
      </c>
      <c r="F9" s="82">
        <v>0.224</v>
      </c>
      <c r="G9" s="82">
        <v>0</v>
      </c>
      <c r="H9" s="82">
        <v>0</v>
      </c>
      <c r="I9" s="82">
        <v>0.021</v>
      </c>
      <c r="J9" s="82">
        <v>0.001</v>
      </c>
      <c r="K9" s="82">
        <v>0.005</v>
      </c>
    </row>
    <row r="10" spans="3:11" ht="12.75">
      <c r="C10" s="4" t="s">
        <v>111</v>
      </c>
      <c r="D10" s="9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3:11" ht="12.75">
      <c r="C11" s="4" t="s">
        <v>112</v>
      </c>
      <c r="D11" s="98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3:11" ht="12.75">
      <c r="C12" s="4" t="s">
        <v>113</v>
      </c>
      <c r="D12" s="98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.75">
      <c r="A13" s="100" t="s">
        <v>115</v>
      </c>
      <c r="C13" s="4" t="s">
        <v>114</v>
      </c>
      <c r="D13" s="98"/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.75">
      <c r="A14" s="100" t="s">
        <v>116</v>
      </c>
      <c r="C14" s="3" t="s">
        <v>73</v>
      </c>
      <c r="E14" s="82">
        <v>0.947</v>
      </c>
      <c r="F14" s="82">
        <v>0.017</v>
      </c>
      <c r="G14" s="82">
        <v>0.003</v>
      </c>
      <c r="H14" s="82">
        <v>0</v>
      </c>
      <c r="I14" s="82">
        <v>0.003</v>
      </c>
      <c r="J14" s="82">
        <v>0.03</v>
      </c>
      <c r="K14" s="82">
        <v>0</v>
      </c>
    </row>
    <row r="15" spans="1:11" ht="12.75">
      <c r="A15" s="100" t="s">
        <v>117</v>
      </c>
      <c r="C15" s="3" t="s">
        <v>81</v>
      </c>
      <c r="E15" s="10">
        <v>0.47</v>
      </c>
      <c r="F15" s="10">
        <v>0.29</v>
      </c>
      <c r="G15" s="10">
        <v>0</v>
      </c>
      <c r="H15" s="10">
        <v>0.09</v>
      </c>
      <c r="I15" s="10">
        <v>0.07</v>
      </c>
      <c r="J15" s="10">
        <v>0</v>
      </c>
      <c r="K15" s="10">
        <v>0.08</v>
      </c>
    </row>
    <row r="16" spans="3:11" ht="12.75">
      <c r="C16" s="3" t="s">
        <v>82</v>
      </c>
      <c r="E16" s="10">
        <v>0.49</v>
      </c>
      <c r="F16" s="10">
        <v>0.2</v>
      </c>
      <c r="G16" s="10">
        <v>0.016</v>
      </c>
      <c r="H16" s="10">
        <v>0.2</v>
      </c>
      <c r="I16" s="10">
        <v>0.07</v>
      </c>
      <c r="J16" s="10">
        <v>0.003</v>
      </c>
      <c r="K16" s="10">
        <v>0.024</v>
      </c>
    </row>
    <row r="17" spans="3:11" ht="12.75">
      <c r="C17" s="3" t="s">
        <v>79</v>
      </c>
      <c r="E17" s="10">
        <v>0.02</v>
      </c>
      <c r="F17" s="10">
        <v>0.44</v>
      </c>
      <c r="G17" s="10">
        <v>0</v>
      </c>
      <c r="H17" s="10">
        <v>0.23</v>
      </c>
      <c r="I17" s="10">
        <v>0.17</v>
      </c>
      <c r="J17" s="10">
        <v>0.01</v>
      </c>
      <c r="K17" s="10">
        <v>0.13</v>
      </c>
    </row>
    <row r="18" spans="3:11" ht="12.75">
      <c r="C18" s="3" t="s">
        <v>80</v>
      </c>
      <c r="E18" s="10">
        <v>0.04</v>
      </c>
      <c r="F18" s="10">
        <v>0.6</v>
      </c>
      <c r="G18" s="10">
        <v>0</v>
      </c>
      <c r="H18" s="10">
        <v>0.01</v>
      </c>
      <c r="I18" s="10">
        <v>0.21</v>
      </c>
      <c r="J18" s="10">
        <v>0</v>
      </c>
      <c r="K18" s="10">
        <v>0.14</v>
      </c>
    </row>
    <row r="19" spans="3:11" ht="12.75">
      <c r="C19" s="3" t="s">
        <v>78</v>
      </c>
      <c r="E19" s="10">
        <v>0.09</v>
      </c>
      <c r="F19" s="10">
        <v>0.48</v>
      </c>
      <c r="G19" s="10">
        <v>0</v>
      </c>
      <c r="H19" s="10">
        <v>0.21</v>
      </c>
      <c r="I19" s="10">
        <v>0.06</v>
      </c>
      <c r="J19" s="10">
        <v>0</v>
      </c>
      <c r="K19" s="10">
        <v>0.16</v>
      </c>
    </row>
    <row r="20" spans="3:11" ht="12.75">
      <c r="C20" s="3" t="s">
        <v>74</v>
      </c>
      <c r="E20" s="82">
        <v>0.973</v>
      </c>
      <c r="F20" s="82">
        <v>0.003</v>
      </c>
      <c r="G20" s="82">
        <v>0.003</v>
      </c>
      <c r="H20" s="82">
        <v>0.018</v>
      </c>
      <c r="I20" s="82">
        <v>0</v>
      </c>
      <c r="J20" s="82">
        <v>0.002</v>
      </c>
      <c r="K20" s="82">
        <v>0.001</v>
      </c>
    </row>
    <row r="21" ht="12.75">
      <c r="C21" s="3"/>
    </row>
    <row r="22" ht="12.75">
      <c r="C22" s="3"/>
    </row>
  </sheetData>
  <sheetProtection/>
  <printOptions gridLines="1"/>
  <pageMargins left="0.75" right="0.75" top="1" bottom="1" header="0.5" footer="0.5"/>
  <pageSetup horizontalDpi="300" verticalDpi="300" orientation="landscape" r:id="rId2"/>
  <headerFooter alignWithMargins="0">
    <oddHeader>&amp;CGeographies Database for Calculator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rbenassini</dc:creator>
  <cp:keywords/>
  <dc:description/>
  <cp:lastModifiedBy>Tom Kelly</cp:lastModifiedBy>
  <cp:lastPrinted>2008-08-12T23:14:37Z</cp:lastPrinted>
  <dcterms:created xsi:type="dcterms:W3CDTF">2008-06-13T17:40:45Z</dcterms:created>
  <dcterms:modified xsi:type="dcterms:W3CDTF">2009-01-14T21:36:03Z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